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enry\Desktop\"/>
    </mc:Choice>
  </mc:AlternateContent>
  <xr:revisionPtr revIDLastSave="0" documentId="13_ncr:1_{C2766604-A5FD-4D0D-8F1A-A640358800AA}" xr6:coauthVersionLast="47" xr6:coauthVersionMax="47" xr10:uidLastSave="{00000000-0000-0000-0000-000000000000}"/>
  <bookViews>
    <workbookView xWindow="-120" yWindow="-120" windowWidth="29040" windowHeight="17520" xr2:uid="{C715A9D1-47B7-4AC5-BA11-A15205CA0C78}"/>
  </bookViews>
  <sheets>
    <sheet name="Data Summary p-fractions" sheetId="1" r:id="rId1"/>
    <sheet name="QC" sheetId="2" r:id="rId2"/>
    <sheet name="Method not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0" i="1" l="1"/>
  <c r="Q30" i="1"/>
  <c r="S26" i="1"/>
  <c r="S23" i="1"/>
  <c r="O23" i="1"/>
  <c r="O17" i="1"/>
  <c r="O26" i="1" s="1"/>
  <c r="O14" i="1"/>
  <c r="S14" i="1" s="1"/>
  <c r="C15" i="1"/>
  <c r="C16" i="1"/>
  <c r="C17" i="1"/>
  <c r="C18" i="1"/>
  <c r="C19" i="1"/>
  <c r="C20" i="1"/>
  <c r="C21" i="1"/>
  <c r="C14" i="1"/>
  <c r="N25" i="2"/>
  <c r="N23" i="2"/>
  <c r="N21" i="2"/>
  <c r="Q19" i="2"/>
  <c r="N19" i="2"/>
  <c r="Q18" i="2"/>
  <c r="E29" i="2"/>
  <c r="H27" i="2"/>
  <c r="E27" i="2"/>
  <c r="H26" i="2"/>
  <c r="E25" i="2"/>
  <c r="H24" i="2"/>
  <c r="H23" i="2"/>
  <c r="E23" i="2"/>
  <c r="H21" i="2"/>
  <c r="E21" i="2"/>
  <c r="H20" i="2"/>
  <c r="E19" i="2"/>
  <c r="H18" i="2"/>
  <c r="W12" i="2"/>
  <c r="W10" i="2"/>
  <c r="W8" i="2"/>
  <c r="Z6" i="2"/>
  <c r="W6" i="2"/>
  <c r="Z5" i="2"/>
  <c r="N12" i="2"/>
  <c r="N10" i="2"/>
  <c r="N8" i="2"/>
  <c r="Q6" i="2"/>
  <c r="N6" i="2"/>
  <c r="Q5" i="2"/>
  <c r="E12" i="2"/>
  <c r="E10" i="2"/>
  <c r="E8" i="2"/>
  <c r="H6" i="2"/>
  <c r="E6" i="2"/>
  <c r="H5" i="2"/>
  <c r="G20" i="1" l="1"/>
  <c r="I20" i="1" s="1"/>
  <c r="L20" i="1" s="1"/>
  <c r="G21" i="1"/>
  <c r="S17" i="1"/>
  <c r="G10" i="1"/>
  <c r="E21" i="1" s="1"/>
  <c r="G9" i="1"/>
  <c r="E20" i="1" s="1"/>
  <c r="G8" i="1"/>
  <c r="E19" i="1" s="1"/>
  <c r="G19" i="1" s="1"/>
  <c r="I19" i="1" s="1"/>
  <c r="L19" i="1" s="1"/>
  <c r="G7" i="1"/>
  <c r="E18" i="1" s="1"/>
  <c r="G18" i="1" s="1"/>
  <c r="I18" i="1" s="1"/>
  <c r="L18" i="1" s="1"/>
  <c r="G6" i="1"/>
  <c r="E17" i="1" s="1"/>
  <c r="G17" i="1" s="1"/>
  <c r="I17" i="1" s="1"/>
  <c r="L17" i="1" s="1"/>
  <c r="G5" i="1"/>
  <c r="E16" i="1" s="1"/>
  <c r="G16" i="1" s="1"/>
  <c r="I16" i="1" s="1"/>
  <c r="L16" i="1" s="1"/>
  <c r="G4" i="1"/>
  <c r="E15" i="1" s="1"/>
  <c r="G15" i="1" s="1"/>
  <c r="I15" i="1" s="1"/>
  <c r="L15" i="1" s="1"/>
  <c r="G3" i="1"/>
  <c r="E14" i="1" s="1"/>
  <c r="G14" i="1" s="1"/>
  <c r="I14" i="1" s="1"/>
  <c r="L14" i="1" s="1"/>
</calcChain>
</file>

<file path=xl/sharedStrings.xml><?xml version="1.0" encoding="utf-8"?>
<sst xmlns="http://schemas.openxmlformats.org/spreadsheetml/2006/main" count="279" uniqueCount="115">
  <si>
    <t>Lab ID</t>
  </si>
  <si>
    <t>Client Sample ID</t>
  </si>
  <si>
    <t>Ex-P (mg P/g)</t>
  </si>
  <si>
    <t>BD-P (mg P/g)</t>
  </si>
  <si>
    <t>NaOH-P (mg P/g)</t>
  </si>
  <si>
    <t>Pers-P (mg P/g)</t>
  </si>
  <si>
    <t>Pers-P minus NaOH (mg P/g)</t>
  </si>
  <si>
    <t>HCl-P (mg P/g)</t>
  </si>
  <si>
    <t>Loosely Bound</t>
  </si>
  <si>
    <t>Iron Bound</t>
  </si>
  <si>
    <t>Aluminum Bound</t>
  </si>
  <si>
    <t>Labile Organic</t>
  </si>
  <si>
    <t>Mineral Bound</t>
  </si>
  <si>
    <t>TC-58</t>
  </si>
  <si>
    <t>TC-75</t>
  </si>
  <si>
    <t>BigSwan-S1</t>
  </si>
  <si>
    <t>BigSwan-S2</t>
  </si>
  <si>
    <t>BigSwan-S3</t>
  </si>
  <si>
    <t>BigSwan-S4</t>
  </si>
  <si>
    <t>BigSwan-S5</t>
  </si>
  <si>
    <t>BigSwan-P1</t>
  </si>
  <si>
    <t>BigSwan-P2</t>
  </si>
  <si>
    <t>BigSwan-CL</t>
  </si>
  <si>
    <t>Sample 1</t>
  </si>
  <si>
    <t>Sample 2</t>
  </si>
  <si>
    <t>Sample 3</t>
  </si>
  <si>
    <t>Sample 4</t>
  </si>
  <si>
    <t>Sample 5</t>
  </si>
  <si>
    <t>Pond 1</t>
  </si>
  <si>
    <t>Pond 2</t>
  </si>
  <si>
    <t>Channel in Lake</t>
  </si>
  <si>
    <t>Batch QC P-Fractions EX-P</t>
  </si>
  <si>
    <t>Method Blanks</t>
  </si>
  <si>
    <t>Method Dups</t>
  </si>
  <si>
    <t>Spikes and Recoveries</t>
  </si>
  <si>
    <t>Sample ID</t>
  </si>
  <si>
    <t>Conc (mg/L)</t>
  </si>
  <si>
    <t>mg/L (final)</t>
  </si>
  <si>
    <t>RPD</t>
  </si>
  <si>
    <t>mg/L (at instrument)</t>
  </si>
  <si>
    <t>% recovery</t>
  </si>
  <si>
    <t>LRB</t>
  </si>
  <si>
    <t>LFB</t>
  </si>
  <si>
    <t>Blank 3</t>
  </si>
  <si>
    <t>LFBD</t>
  </si>
  <si>
    <t>Blank 1</t>
  </si>
  <si>
    <t>DUP TC-58</t>
  </si>
  <si>
    <t>DUP BigSwan-CL</t>
  </si>
  <si>
    <t>Batch QC P-Fractions BD-P</t>
  </si>
  <si>
    <t>Batch QC P-Fractions NaOH-P</t>
  </si>
  <si>
    <t>mg/L at-instrument</t>
  </si>
  <si>
    <t>Batch QC P-Fractions Pers-P</t>
  </si>
  <si>
    <t>mg/L at instrument</t>
  </si>
  <si>
    <t>MS TC-58</t>
  </si>
  <si>
    <t>MSD TC-58</t>
  </si>
  <si>
    <t>Batch QC P-Fractions HCl-P</t>
  </si>
  <si>
    <t>Sample Comments</t>
  </si>
  <si>
    <t>Sample contains small rocks and twigs</t>
  </si>
  <si>
    <t>Fraction name</t>
  </si>
  <si>
    <t>MDL (mg/L)</t>
  </si>
  <si>
    <t>Definition of Fraction</t>
  </si>
  <si>
    <t>Ex-P</t>
  </si>
  <si>
    <t>Loosely bound or "exchangeable" P. Measures porewater soluble and loosely-sorbed P (i.e. CaCO3-adsorbed P)</t>
  </si>
  <si>
    <t>BD-P</t>
  </si>
  <si>
    <t>Iron bound P, for P adsorbed to iron-III oxyhydroxides</t>
  </si>
  <si>
    <t>NaOH-P</t>
  </si>
  <si>
    <t>Aluminum bound P, for amorphous Al(OH)3 that dissolves under high pH conditions. Includes some iron-III oxyhydroxides. Also pulls some sediment organic P</t>
  </si>
  <si>
    <t>Pers-P</t>
  </si>
  <si>
    <t>Aluminum bound P + Labile organic P. Difference between NaOH-P and Pers-P equals labile organic P fraction</t>
  </si>
  <si>
    <t>HCl-P</t>
  </si>
  <si>
    <t>Mineral bound P, for calcite and apatite bound P released under acidic conditions</t>
  </si>
  <si>
    <t>Sed TP</t>
  </si>
  <si>
    <t>Total sediment phosphorus, prepared and digested separately from the p-fractions</t>
  </si>
  <si>
    <t>All samples analyzed on a Seal AQ400 Discrete Analyzer</t>
  </si>
  <si>
    <t>QC Flag defintions</t>
  </si>
  <si>
    <t>The RPD is greater than the method acceptance criteria. At least one of the values used to calculate the RPD is less than PQL.</t>
  </si>
  <si>
    <t>The matrix spike recovery is outside the method acceptance limits, but could not be accurately calculated due to a high concentration of analyte in the sample.</t>
  </si>
  <si>
    <t>&lt;0.010</t>
  </si>
  <si>
    <t>DUP TC-75</t>
  </si>
  <si>
    <t>MS TC-75</t>
  </si>
  <si>
    <t>MSD TC-75</t>
  </si>
  <si>
    <t>MS BigSwan-CL</t>
  </si>
  <si>
    <t>MSD BigSwan-CL</t>
  </si>
  <si>
    <t>EX-P</t>
  </si>
  <si>
    <t>Spike recovery or duplicate RPD are outside of method limits. The sample is non-homogenous.</t>
  </si>
  <si>
    <t>Mobile P (Loose + Iron)</t>
  </si>
  <si>
    <t>Planned Treatment P</t>
  </si>
  <si>
    <t>Short Term Organic P</t>
  </si>
  <si>
    <t>mg/g</t>
  </si>
  <si>
    <t>mg/cm3</t>
  </si>
  <si>
    <t>Planned Treatment P by Volume</t>
  </si>
  <si>
    <t xml:space="preserve">Average mosisture 89% and Density 1.06 (g/cm3) </t>
  </si>
  <si>
    <t>Channel in Lake **</t>
  </si>
  <si>
    <t>** This sample had a density of 1.35 g/cm3 and is outside the planned treatment area</t>
  </si>
  <si>
    <t>* These samples would be part of a separate treatment focused on the settling area adjacent to the lake.</t>
  </si>
  <si>
    <t>g/m2 - cm</t>
  </si>
  <si>
    <t>Sample 1 Area 1</t>
  </si>
  <si>
    <t>Sample 2 Area 1</t>
  </si>
  <si>
    <t>Sample 3 Area 1</t>
  </si>
  <si>
    <t>Sample 4 Area 2</t>
  </si>
  <si>
    <t>Sample 5 Area 2</t>
  </si>
  <si>
    <t>Area 2 = 12.7 acres = 51,395 m2</t>
  </si>
  <si>
    <t>Area 1 = 95 acres = 384,451 m2</t>
  </si>
  <si>
    <t>Area 1 Releasable P in top 6 cm</t>
  </si>
  <si>
    <t>Area 2 Releasable P in top 6 cm</t>
  </si>
  <si>
    <t>lbs</t>
  </si>
  <si>
    <t>Area 1 Average Releasable P</t>
  </si>
  <si>
    <t>Area 2 Average Releasable P</t>
  </si>
  <si>
    <t>Area 1 Releasable P After Treatment</t>
  </si>
  <si>
    <t>Area 2 Releasable P After Treatment</t>
  </si>
  <si>
    <t>Releasable P Reduction by Treatment</t>
  </si>
  <si>
    <t>-</t>
  </si>
  <si>
    <t>=</t>
  </si>
  <si>
    <t>3497 lbs</t>
  </si>
  <si>
    <t>The reduction of 3497 pounds of P accomplished by the planned Alum treatment is 110% of the TMDL perscribed reduction and is modeled to achieve the goals identified in the TMDL.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</si>
</sst>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00"/>
    <numFmt numFmtId="166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C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sz val="11"/>
      <color rgb="FFFFC00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4" xfId="0" applyFont="1" applyFill="1" applyBorder="1"/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165" fontId="0" fillId="0" borderId="2" xfId="0" applyNumberFormat="1" applyBorder="1" applyAlignment="1">
      <alignment horizontal="center"/>
    </xf>
    <xf numFmtId="0" fontId="0" fillId="0" borderId="8" xfId="0" applyBorder="1"/>
    <xf numFmtId="165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12" xfId="0" applyBorder="1"/>
    <xf numFmtId="165" fontId="0" fillId="0" borderId="5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center"/>
    </xf>
    <xf numFmtId="0" fontId="0" fillId="0" borderId="14" xfId="0" applyBorder="1"/>
    <xf numFmtId="165" fontId="0" fillId="0" borderId="16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164" fontId="3" fillId="0" borderId="15" xfId="0" applyNumberFormat="1" applyFont="1" applyBorder="1" applyAlignment="1">
      <alignment horizontal="left"/>
    </xf>
    <xf numFmtId="0" fontId="1" fillId="3" borderId="18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2" fontId="4" fillId="0" borderId="25" xfId="0" applyNumberFormat="1" applyFont="1" applyBorder="1" applyAlignment="1">
      <alignment horizontal="center" vertical="center" wrapText="1" shrinkToFit="1"/>
    </xf>
    <xf numFmtId="0" fontId="0" fillId="0" borderId="1" xfId="0" applyBorder="1"/>
    <xf numFmtId="165" fontId="0" fillId="0" borderId="3" xfId="0" applyNumberFormat="1" applyBorder="1" applyAlignment="1">
      <alignment horizontal="center"/>
    </xf>
    <xf numFmtId="0" fontId="0" fillId="0" borderId="7" xfId="0" applyBorder="1"/>
    <xf numFmtId="0" fontId="0" fillId="0" borderId="26" xfId="0" applyBorder="1"/>
    <xf numFmtId="0" fontId="0" fillId="0" borderId="1" xfId="0" applyBorder="1" applyAlignment="1">
      <alignment horizontal="left"/>
    </xf>
    <xf numFmtId="166" fontId="0" fillId="0" borderId="3" xfId="0" applyNumberFormat="1" applyBorder="1"/>
    <xf numFmtId="0" fontId="0" fillId="0" borderId="27" xfId="0" applyBorder="1"/>
    <xf numFmtId="10" fontId="0" fillId="0" borderId="28" xfId="0" applyNumberFormat="1" applyBorder="1"/>
    <xf numFmtId="0" fontId="0" fillId="0" borderId="27" xfId="0" applyBorder="1" applyAlignment="1">
      <alignment horizontal="left"/>
    </xf>
    <xf numFmtId="166" fontId="0" fillId="0" borderId="11" xfId="0" applyNumberFormat="1" applyBorder="1"/>
    <xf numFmtId="0" fontId="0" fillId="0" borderId="28" xfId="0" applyBorder="1"/>
    <xf numFmtId="0" fontId="0" fillId="5" borderId="27" xfId="0" applyFill="1" applyBorder="1" applyAlignment="1">
      <alignment horizontal="left"/>
    </xf>
    <xf numFmtId="165" fontId="0" fillId="5" borderId="10" xfId="0" applyNumberFormat="1" applyFill="1" applyBorder="1" applyAlignment="1">
      <alignment horizontal="center"/>
    </xf>
    <xf numFmtId="166" fontId="0" fillId="5" borderId="11" xfId="0" applyNumberFormat="1" applyFill="1" applyBorder="1"/>
    <xf numFmtId="0" fontId="0" fillId="5" borderId="27" xfId="0" applyFill="1" applyBorder="1"/>
    <xf numFmtId="165" fontId="0" fillId="5" borderId="11" xfId="0" applyNumberFormat="1" applyFill="1" applyBorder="1" applyAlignment="1">
      <alignment horizontal="center"/>
    </xf>
    <xf numFmtId="10" fontId="0" fillId="0" borderId="30" xfId="0" applyNumberFormat="1" applyBorder="1"/>
    <xf numFmtId="0" fontId="0" fillId="5" borderId="29" xfId="0" applyFill="1" applyBorder="1" applyAlignment="1">
      <alignment horizontal="left"/>
    </xf>
    <xf numFmtId="165" fontId="0" fillId="5" borderId="16" xfId="0" applyNumberFormat="1" applyFill="1" applyBorder="1" applyAlignment="1">
      <alignment horizontal="center"/>
    </xf>
    <xf numFmtId="166" fontId="0" fillId="5" borderId="17" xfId="0" applyNumberFormat="1" applyFill="1" applyBorder="1"/>
    <xf numFmtId="0" fontId="0" fillId="0" borderId="3" xfId="0" applyBorder="1"/>
    <xf numFmtId="166" fontId="0" fillId="0" borderId="23" xfId="0" applyNumberFormat="1" applyBorder="1"/>
    <xf numFmtId="10" fontId="0" fillId="0" borderId="11" xfId="0" applyNumberFormat="1" applyBorder="1"/>
    <xf numFmtId="0" fontId="0" fillId="0" borderId="11" xfId="0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 horizontal="center"/>
    </xf>
    <xf numFmtId="10" fontId="0" fillId="0" borderId="17" xfId="0" applyNumberFormat="1" applyBorder="1"/>
    <xf numFmtId="0" fontId="0" fillId="0" borderId="29" xfId="0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3" xfId="0" applyFont="1" applyBorder="1"/>
    <xf numFmtId="0" fontId="1" fillId="0" borderId="0" xfId="0" applyFont="1"/>
    <xf numFmtId="165" fontId="0" fillId="0" borderId="11" xfId="0" applyNumberFormat="1" applyBorder="1"/>
    <xf numFmtId="165" fontId="0" fillId="0" borderId="17" xfId="0" applyNumberForma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9" xfId="0" applyBorder="1" applyAlignment="1">
      <alignment horizontal="left"/>
    </xf>
    <xf numFmtId="0" fontId="0" fillId="5" borderId="27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0" borderId="15" xfId="0" applyBorder="1" applyAlignment="1">
      <alignment horizontal="left"/>
    </xf>
    <xf numFmtId="165" fontId="3" fillId="0" borderId="10" xfId="0" applyNumberFormat="1" applyFont="1" applyBorder="1" applyAlignment="1">
      <alignment horizontal="center"/>
    </xf>
    <xf numFmtId="165" fontId="3" fillId="0" borderId="16" xfId="0" applyNumberFormat="1" applyFont="1" applyBorder="1" applyAlignment="1">
      <alignment horizontal="center"/>
    </xf>
    <xf numFmtId="166" fontId="3" fillId="5" borderId="11" xfId="0" applyNumberFormat="1" applyFont="1" applyFill="1" applyBorder="1"/>
    <xf numFmtId="166" fontId="3" fillId="5" borderId="17" xfId="0" applyNumberFormat="1" applyFont="1" applyFill="1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/>
    <xf numFmtId="0" fontId="0" fillId="5" borderId="16" xfId="0" applyFill="1" applyBorder="1" applyAlignment="1">
      <alignment horizontal="center"/>
    </xf>
    <xf numFmtId="0" fontId="0" fillId="5" borderId="17" xfId="0" applyFill="1" applyBorder="1"/>
    <xf numFmtId="2" fontId="4" fillId="0" borderId="10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left"/>
    </xf>
    <xf numFmtId="10" fontId="0" fillId="0" borderId="10" xfId="0" applyNumberFormat="1" applyBorder="1"/>
    <xf numFmtId="0" fontId="0" fillId="0" borderId="16" xfId="0" applyBorder="1" applyAlignment="1">
      <alignment horizontal="left"/>
    </xf>
    <xf numFmtId="10" fontId="9" fillId="0" borderId="11" xfId="0" applyNumberFormat="1" applyFont="1" applyBorder="1"/>
    <xf numFmtId="10" fontId="9" fillId="0" borderId="17" xfId="0" applyNumberFormat="1" applyFont="1" applyBorder="1"/>
    <xf numFmtId="10" fontId="9" fillId="0" borderId="28" xfId="0" applyNumberFormat="1" applyFont="1" applyBorder="1"/>
    <xf numFmtId="10" fontId="9" fillId="0" borderId="30" xfId="0" applyNumberFormat="1" applyFont="1" applyBorder="1"/>
    <xf numFmtId="10" fontId="9" fillId="0" borderId="16" xfId="0" applyNumberFormat="1" applyFont="1" applyBorder="1"/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4" borderId="31" xfId="0" applyFont="1" applyFill="1" applyBorder="1" applyAlignment="1">
      <alignment horizontal="center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 vertical="center"/>
    </xf>
    <xf numFmtId="0" fontId="1" fillId="3" borderId="38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left"/>
    </xf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EFFBB-4802-46C1-BFBC-C37E465F5A3D}">
  <sheetPr>
    <pageSetUpPr fitToPage="1"/>
  </sheetPr>
  <dimension ref="A1:U32"/>
  <sheetViews>
    <sheetView tabSelected="1" workbookViewId="0">
      <selection activeCell="C32" sqref="C32"/>
    </sheetView>
  </sheetViews>
  <sheetFormatPr defaultColWidth="8.85546875" defaultRowHeight="15" x14ac:dyDescent="0.25"/>
  <cols>
    <col min="1" max="1" width="16.28515625" customWidth="1"/>
    <col min="2" max="2" width="28.140625" bestFit="1" customWidth="1"/>
    <col min="3" max="3" width="18" style="20" customWidth="1"/>
    <col min="4" max="4" width="8.85546875" style="20"/>
    <col min="5" max="5" width="10.140625" style="20" customWidth="1"/>
    <col min="6" max="6" width="8.85546875" style="20"/>
    <col min="7" max="7" width="14.140625" style="20" bestFit="1" customWidth="1"/>
    <col min="8" max="8" width="8.85546875" style="20"/>
    <col min="9" max="9" width="34.42578125" style="20" customWidth="1"/>
    <col min="13" max="13" width="11.42578125" style="123" customWidth="1"/>
    <col min="16" max="16" width="11.85546875" customWidth="1"/>
    <col min="17" max="17" width="12.85546875" customWidth="1"/>
    <col min="18" max="18" width="6.7109375" customWidth="1"/>
    <col min="19" max="19" width="5.85546875" customWidth="1"/>
    <col min="20" max="20" width="2.7109375" customWidth="1"/>
  </cols>
  <sheetData>
    <row r="1" spans="1:20" ht="45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4" t="s">
        <v>7</v>
      </c>
      <c r="I1" s="73" t="s">
        <v>56</v>
      </c>
      <c r="J1" s="5"/>
    </row>
    <row r="2" spans="1:20" ht="27.75" customHeight="1" x14ac:dyDescent="0.25">
      <c r="A2" s="6"/>
      <c r="B2" s="6"/>
      <c r="C2" s="7" t="s">
        <v>8</v>
      </c>
      <c r="D2" s="7" t="s">
        <v>9</v>
      </c>
      <c r="E2" s="7" t="s">
        <v>10</v>
      </c>
      <c r="F2" s="7"/>
      <c r="G2" s="7" t="s">
        <v>11</v>
      </c>
      <c r="H2" s="8" t="s">
        <v>12</v>
      </c>
      <c r="I2" s="74"/>
    </row>
    <row r="3" spans="1:20" x14ac:dyDescent="0.25">
      <c r="A3" s="15" t="s">
        <v>15</v>
      </c>
      <c r="B3" s="29" t="s">
        <v>23</v>
      </c>
      <c r="C3" s="18">
        <v>3.7078640343994176E-2</v>
      </c>
      <c r="D3" s="16">
        <v>0.36573097962598422</v>
      </c>
      <c r="E3" s="16">
        <v>2.6845896023560439E-2</v>
      </c>
      <c r="F3" s="17">
        <v>0.18010861555555552</v>
      </c>
      <c r="G3" s="17">
        <f t="shared" ref="G3:G10" si="0">F3-E3</f>
        <v>0.15326271953199508</v>
      </c>
      <c r="H3" s="24">
        <v>0.16981501191601048</v>
      </c>
      <c r="I3" s="75"/>
    </row>
    <row r="4" spans="1:20" x14ac:dyDescent="0.25">
      <c r="A4" s="10" t="s">
        <v>16</v>
      </c>
      <c r="B4" s="30" t="s">
        <v>24</v>
      </c>
      <c r="C4" s="14">
        <v>2.7417173691473156E-2</v>
      </c>
      <c r="D4" s="11">
        <v>1.3518127237590789</v>
      </c>
      <c r="E4" s="11">
        <v>8.0195438441098332E-2</v>
      </c>
      <c r="F4" s="12">
        <v>0.30093191209034548</v>
      </c>
      <c r="G4" s="12">
        <f t="shared" si="0"/>
        <v>0.22073647364924714</v>
      </c>
      <c r="H4" s="25">
        <v>0.20727216161012516</v>
      </c>
      <c r="I4" s="75"/>
    </row>
    <row r="5" spans="1:20" x14ac:dyDescent="0.25">
      <c r="A5" s="15" t="s">
        <v>17</v>
      </c>
      <c r="B5" s="29" t="s">
        <v>25</v>
      </c>
      <c r="C5" s="18">
        <v>1.8815369348765515E-2</v>
      </c>
      <c r="D5" s="16">
        <v>0.31898354725978334</v>
      </c>
      <c r="E5" s="16">
        <v>3.7135299554427445E-2</v>
      </c>
      <c r="F5" s="17">
        <v>0.23715840513614109</v>
      </c>
      <c r="G5" s="17">
        <f t="shared" si="0"/>
        <v>0.20002310558171366</v>
      </c>
      <c r="H5" s="24">
        <v>0.18466430073838613</v>
      </c>
      <c r="I5" s="75"/>
    </row>
    <row r="6" spans="1:20" x14ac:dyDescent="0.25">
      <c r="A6" s="10" t="s">
        <v>18</v>
      </c>
      <c r="B6" s="30" t="s">
        <v>26</v>
      </c>
      <c r="C6" s="14">
        <v>2.9522669810482568E-2</v>
      </c>
      <c r="D6" s="11">
        <v>0.15439290560955737</v>
      </c>
      <c r="E6" s="11">
        <v>2.9883017266059214E-2</v>
      </c>
      <c r="F6" s="12">
        <v>0.18739070242424244</v>
      </c>
      <c r="G6" s="12">
        <f t="shared" si="0"/>
        <v>0.15750768515818322</v>
      </c>
      <c r="H6" s="25">
        <v>0.14059331559881139</v>
      </c>
      <c r="I6" s="75"/>
    </row>
    <row r="7" spans="1:20" x14ac:dyDescent="0.25">
      <c r="A7" s="15" t="s">
        <v>19</v>
      </c>
      <c r="B7" s="29" t="s">
        <v>27</v>
      </c>
      <c r="C7" s="18">
        <v>3.7622899981501541E-2</v>
      </c>
      <c r="D7" s="16">
        <v>0.1815823903143638</v>
      </c>
      <c r="E7" s="16">
        <v>3.7956411395958088E-2</v>
      </c>
      <c r="F7" s="17">
        <v>0.25976084610438582</v>
      </c>
      <c r="G7" s="17">
        <f t="shared" si="0"/>
        <v>0.22180443470842773</v>
      </c>
      <c r="H7" s="24">
        <v>0.14376209540624998</v>
      </c>
      <c r="I7" s="75"/>
    </row>
    <row r="8" spans="1:20" x14ac:dyDescent="0.25">
      <c r="A8" s="10" t="s">
        <v>20</v>
      </c>
      <c r="B8" s="30" t="s">
        <v>28</v>
      </c>
      <c r="C8" s="14">
        <v>2.298593715051974E-2</v>
      </c>
      <c r="D8" s="11">
        <v>1.6847695556602043</v>
      </c>
      <c r="E8" s="11">
        <v>0.41905363213698044</v>
      </c>
      <c r="F8" s="12">
        <v>0.62865708137439835</v>
      </c>
      <c r="G8" s="12">
        <f t="shared" si="0"/>
        <v>0.20960344923741792</v>
      </c>
      <c r="H8" s="25">
        <v>0.19496623542373734</v>
      </c>
      <c r="I8" s="75"/>
    </row>
    <row r="9" spans="1:20" x14ac:dyDescent="0.25">
      <c r="A9" s="15" t="s">
        <v>21</v>
      </c>
      <c r="B9" s="31" t="s">
        <v>29</v>
      </c>
      <c r="C9" s="27" t="s">
        <v>77</v>
      </c>
      <c r="D9" s="16">
        <v>1.3931480410304014</v>
      </c>
      <c r="E9" s="16">
        <v>0.33527698042870446</v>
      </c>
      <c r="F9" s="17">
        <v>0.57933449580615082</v>
      </c>
      <c r="G9" s="17">
        <f t="shared" si="0"/>
        <v>0.24405751537744635</v>
      </c>
      <c r="H9" s="24">
        <v>0.24043023395838711</v>
      </c>
      <c r="I9" s="75"/>
    </row>
    <row r="10" spans="1:20" ht="15.75" thickBot="1" x14ac:dyDescent="0.3">
      <c r="A10" s="21" t="s">
        <v>22</v>
      </c>
      <c r="B10" s="32" t="s">
        <v>30</v>
      </c>
      <c r="C10" s="28" t="s">
        <v>77</v>
      </c>
      <c r="D10" s="22">
        <v>0.38388492875857755</v>
      </c>
      <c r="E10" s="22">
        <v>4.0079575945704216E-2</v>
      </c>
      <c r="F10" s="23">
        <v>9.3330301965065504E-2</v>
      </c>
      <c r="G10" s="23">
        <f t="shared" si="0"/>
        <v>5.3250726019361289E-2</v>
      </c>
      <c r="H10" s="26">
        <v>8.8567653516036723E-2</v>
      </c>
      <c r="I10" s="75" t="s">
        <v>57</v>
      </c>
    </row>
    <row r="13" spans="1:20" x14ac:dyDescent="0.25">
      <c r="C13" s="123" t="s">
        <v>85</v>
      </c>
      <c r="D13" s="124"/>
      <c r="E13" s="20" t="s">
        <v>87</v>
      </c>
      <c r="G13" s="20" t="s">
        <v>86</v>
      </c>
      <c r="I13" s="20" t="s">
        <v>90</v>
      </c>
      <c r="O13" t="s">
        <v>106</v>
      </c>
      <c r="S13" t="s">
        <v>103</v>
      </c>
    </row>
    <row r="14" spans="1:20" x14ac:dyDescent="0.25">
      <c r="A14" s="15" t="s">
        <v>15</v>
      </c>
      <c r="B14" s="29" t="s">
        <v>96</v>
      </c>
      <c r="C14" s="75">
        <f>SUM(C3:D3)</f>
        <v>0.40280961996997838</v>
      </c>
      <c r="D14" s="20" t="s">
        <v>88</v>
      </c>
      <c r="E14" s="20">
        <f>PRODUCT(G3,0.25)</f>
        <v>3.831567988299877E-2</v>
      </c>
      <c r="F14" s="20" t="s">
        <v>88</v>
      </c>
      <c r="G14" s="75">
        <f>SUM(C14:E14)</f>
        <v>0.44112529985297716</v>
      </c>
      <c r="H14" s="20" t="s">
        <v>88</v>
      </c>
      <c r="I14" s="20">
        <f>PRODUCT(G14,0.116)</f>
        <v>5.1170534782945351E-2</v>
      </c>
      <c r="J14" t="s">
        <v>89</v>
      </c>
      <c r="L14">
        <f>PRODUCT(I14,10)</f>
        <v>0.51170534782945354</v>
      </c>
      <c r="M14" s="123" t="s">
        <v>95</v>
      </c>
      <c r="O14" s="126">
        <f>PRODUCT(2.63,1/3)</f>
        <v>0.87666666666666659</v>
      </c>
      <c r="P14" s="123" t="s">
        <v>95</v>
      </c>
      <c r="Q14" s="123"/>
      <c r="S14" s="125">
        <f>PRODUCT(O14,6,384451,1/454)</f>
        <v>4454.2120264317182</v>
      </c>
      <c r="T14" t="s">
        <v>105</v>
      </c>
    </row>
    <row r="15" spans="1:20" x14ac:dyDescent="0.25">
      <c r="A15" s="10" t="s">
        <v>16</v>
      </c>
      <c r="B15" s="30" t="s">
        <v>97</v>
      </c>
      <c r="C15" s="75">
        <f t="shared" ref="C15:C21" si="1">SUM(C4:D4)</f>
        <v>1.3792298974505521</v>
      </c>
      <c r="D15" s="20" t="s">
        <v>88</v>
      </c>
      <c r="E15" s="20">
        <f t="shared" ref="E15:E21" si="2">PRODUCT(G4,0.25)</f>
        <v>5.5184118412311786E-2</v>
      </c>
      <c r="F15" s="20" t="s">
        <v>88</v>
      </c>
      <c r="G15" s="75">
        <f t="shared" ref="G15:G21" si="3">SUM(C15:E15)</f>
        <v>1.434414015862864</v>
      </c>
      <c r="H15" s="20" t="s">
        <v>88</v>
      </c>
      <c r="I15" s="20">
        <f t="shared" ref="I15:I20" si="4">PRODUCT(G15,0.116)</f>
        <v>0.16639202584009224</v>
      </c>
      <c r="J15" t="s">
        <v>89</v>
      </c>
      <c r="L15">
        <f t="shared" ref="L15:L20" si="5">PRODUCT(I15,10)</f>
        <v>1.6639202584009225</v>
      </c>
      <c r="M15" s="123" t="s">
        <v>95</v>
      </c>
    </row>
    <row r="16" spans="1:20" x14ac:dyDescent="0.25">
      <c r="A16" s="15" t="s">
        <v>17</v>
      </c>
      <c r="B16" s="29" t="s">
        <v>98</v>
      </c>
      <c r="C16" s="75">
        <f t="shared" si="1"/>
        <v>0.33779891660854888</v>
      </c>
      <c r="D16" s="20" t="s">
        <v>88</v>
      </c>
      <c r="E16" s="20">
        <f t="shared" si="2"/>
        <v>5.0005776395428414E-2</v>
      </c>
      <c r="F16" s="20" t="s">
        <v>88</v>
      </c>
      <c r="G16" s="75">
        <f t="shared" si="3"/>
        <v>0.3878046930039773</v>
      </c>
      <c r="H16" s="20" t="s">
        <v>88</v>
      </c>
      <c r="I16" s="20">
        <f t="shared" si="4"/>
        <v>4.4985344388461371E-2</v>
      </c>
      <c r="J16" t="s">
        <v>89</v>
      </c>
      <c r="L16">
        <f t="shared" si="5"/>
        <v>0.44985344388461368</v>
      </c>
      <c r="M16" s="123" t="s">
        <v>95</v>
      </c>
      <c r="O16" t="s">
        <v>107</v>
      </c>
      <c r="S16" t="s">
        <v>104</v>
      </c>
    </row>
    <row r="17" spans="1:21" x14ac:dyDescent="0.25">
      <c r="A17" s="10" t="s">
        <v>18</v>
      </c>
      <c r="B17" s="30" t="s">
        <v>99</v>
      </c>
      <c r="C17" s="75">
        <f t="shared" si="1"/>
        <v>0.18391557542003995</v>
      </c>
      <c r="D17" s="20" t="s">
        <v>88</v>
      </c>
      <c r="E17" s="20">
        <f t="shared" si="2"/>
        <v>3.9376921289545806E-2</v>
      </c>
      <c r="F17" s="20" t="s">
        <v>88</v>
      </c>
      <c r="G17" s="75">
        <f t="shared" si="3"/>
        <v>0.22329249670958576</v>
      </c>
      <c r="H17" s="20" t="s">
        <v>88</v>
      </c>
      <c r="I17" s="20">
        <f t="shared" si="4"/>
        <v>2.5901929618311951E-2</v>
      </c>
      <c r="J17" t="s">
        <v>89</v>
      </c>
      <c r="L17">
        <f t="shared" si="5"/>
        <v>0.25901929618311953</v>
      </c>
      <c r="M17" s="123" t="s">
        <v>95</v>
      </c>
      <c r="O17" s="126">
        <f>PRODUCT(0.577,1/2)</f>
        <v>0.28849999999999998</v>
      </c>
      <c r="P17" s="123" t="s">
        <v>95</v>
      </c>
      <c r="Q17" s="123"/>
      <c r="S17" s="125">
        <f>PRODUCT(O17,6,51395,1/454)</f>
        <v>195.95758810572687</v>
      </c>
      <c r="T17" t="s">
        <v>105</v>
      </c>
    </row>
    <row r="18" spans="1:21" x14ac:dyDescent="0.25">
      <c r="A18" s="15" t="s">
        <v>19</v>
      </c>
      <c r="B18" s="29" t="s">
        <v>100</v>
      </c>
      <c r="C18" s="75">
        <f t="shared" si="1"/>
        <v>0.21920529029586533</v>
      </c>
      <c r="D18" s="20" t="s">
        <v>88</v>
      </c>
      <c r="E18" s="20">
        <f t="shared" si="2"/>
        <v>5.5451108677106932E-2</v>
      </c>
      <c r="F18" s="20" t="s">
        <v>88</v>
      </c>
      <c r="G18" s="75">
        <f t="shared" si="3"/>
        <v>0.27465639897297228</v>
      </c>
      <c r="H18" s="20" t="s">
        <v>88</v>
      </c>
      <c r="I18" s="20">
        <f t="shared" si="4"/>
        <v>3.1860142280864784E-2</v>
      </c>
      <c r="J18" t="s">
        <v>89</v>
      </c>
      <c r="L18">
        <f t="shared" si="5"/>
        <v>0.31860142280864784</v>
      </c>
      <c r="M18" s="123" t="s">
        <v>95</v>
      </c>
    </row>
    <row r="19" spans="1:21" x14ac:dyDescent="0.25">
      <c r="A19" s="10" t="s">
        <v>20</v>
      </c>
      <c r="B19" s="30" t="s">
        <v>28</v>
      </c>
      <c r="C19" s="75">
        <f t="shared" si="1"/>
        <v>1.7077554928107239</v>
      </c>
      <c r="D19" s="20" t="s">
        <v>88</v>
      </c>
      <c r="E19" s="20">
        <f t="shared" si="2"/>
        <v>5.2400862309354479E-2</v>
      </c>
      <c r="F19" s="20" t="s">
        <v>88</v>
      </c>
      <c r="G19" s="75">
        <f t="shared" si="3"/>
        <v>1.7601563551200785</v>
      </c>
      <c r="H19" s="20" t="s">
        <v>88</v>
      </c>
      <c r="I19" s="20">
        <f t="shared" si="4"/>
        <v>0.2041781371939291</v>
      </c>
      <c r="J19" t="s">
        <v>89</v>
      </c>
      <c r="L19">
        <f t="shared" si="5"/>
        <v>2.0417813719392912</v>
      </c>
      <c r="M19" s="123" t="s">
        <v>95</v>
      </c>
    </row>
    <row r="20" spans="1:21" x14ac:dyDescent="0.25">
      <c r="A20" s="15" t="s">
        <v>21</v>
      </c>
      <c r="B20" s="31" t="s">
        <v>29</v>
      </c>
      <c r="C20" s="75">
        <f t="shared" si="1"/>
        <v>1.3931480410304014</v>
      </c>
      <c r="D20" s="20" t="s">
        <v>88</v>
      </c>
      <c r="E20" s="20">
        <f t="shared" si="2"/>
        <v>6.1014378844361589E-2</v>
      </c>
      <c r="F20" s="20" t="s">
        <v>88</v>
      </c>
      <c r="G20" s="75">
        <f t="shared" si="3"/>
        <v>1.4541624198747629</v>
      </c>
      <c r="H20" s="20" t="s">
        <v>88</v>
      </c>
      <c r="I20" s="20">
        <f t="shared" si="4"/>
        <v>0.16868284070547251</v>
      </c>
      <c r="J20" t="s">
        <v>89</v>
      </c>
      <c r="L20">
        <f t="shared" si="5"/>
        <v>1.6868284070547253</v>
      </c>
      <c r="M20" s="123" t="s">
        <v>95</v>
      </c>
    </row>
    <row r="21" spans="1:21" ht="15.75" thickBot="1" x14ac:dyDescent="0.3">
      <c r="A21" s="21" t="s">
        <v>22</v>
      </c>
      <c r="B21" s="32" t="s">
        <v>92</v>
      </c>
      <c r="C21" s="75">
        <f t="shared" si="1"/>
        <v>0.38388492875857755</v>
      </c>
      <c r="D21" s="20" t="s">
        <v>88</v>
      </c>
      <c r="E21" s="20">
        <f t="shared" si="2"/>
        <v>1.3312681504840322E-2</v>
      </c>
      <c r="F21" s="20" t="s">
        <v>88</v>
      </c>
      <c r="G21" s="75">
        <f t="shared" si="3"/>
        <v>0.39719761026341788</v>
      </c>
      <c r="H21" s="20" t="s">
        <v>88</v>
      </c>
    </row>
    <row r="22" spans="1:21" x14ac:dyDescent="0.25">
      <c r="O22" t="s">
        <v>108</v>
      </c>
      <c r="S22" t="s">
        <v>108</v>
      </c>
    </row>
    <row r="23" spans="1:21" x14ac:dyDescent="0.25">
      <c r="B23" s="20" t="s">
        <v>91</v>
      </c>
      <c r="O23" s="126">
        <f>PRODUCT(O14,0.25)</f>
        <v>0.21916666666666665</v>
      </c>
      <c r="P23" s="123" t="s">
        <v>95</v>
      </c>
      <c r="Q23" s="123"/>
      <c r="S23" s="125">
        <f>PRODUCT(S14,0.25)</f>
        <v>1113.5530066079295</v>
      </c>
      <c r="T23" t="s">
        <v>105</v>
      </c>
    </row>
    <row r="24" spans="1:21" x14ac:dyDescent="0.25">
      <c r="B24" t="s">
        <v>94</v>
      </c>
    </row>
    <row r="25" spans="1:21" x14ac:dyDescent="0.25">
      <c r="B25" t="s">
        <v>93</v>
      </c>
      <c r="O25" t="s">
        <v>109</v>
      </c>
      <c r="S25" t="s">
        <v>109</v>
      </c>
    </row>
    <row r="26" spans="1:21" x14ac:dyDescent="0.25">
      <c r="O26" s="126">
        <f>PRODUCT(O17,0.2)</f>
        <v>5.7700000000000001E-2</v>
      </c>
      <c r="P26" s="123" t="s">
        <v>95</v>
      </c>
      <c r="Q26" s="123"/>
      <c r="S26" s="125">
        <f>PRODUCT(S17,0.2)</f>
        <v>39.19151762114538</v>
      </c>
      <c r="T26" t="s">
        <v>105</v>
      </c>
    </row>
    <row r="27" spans="1:21" x14ac:dyDescent="0.25">
      <c r="B27" t="s">
        <v>102</v>
      </c>
    </row>
    <row r="28" spans="1:21" x14ac:dyDescent="0.25">
      <c r="B28" t="s">
        <v>101</v>
      </c>
    </row>
    <row r="29" spans="1:21" x14ac:dyDescent="0.25">
      <c r="Q29" t="s">
        <v>110</v>
      </c>
    </row>
    <row r="30" spans="1:21" x14ac:dyDescent="0.25">
      <c r="Q30" s="125">
        <f>SUM(S14,S17)</f>
        <v>4650.1696145374453</v>
      </c>
      <c r="R30" s="20" t="s">
        <v>111</v>
      </c>
      <c r="S30" s="127">
        <f>SUM(S23,S26)</f>
        <v>1152.7445242290748</v>
      </c>
      <c r="T30" t="s">
        <v>112</v>
      </c>
      <c r="U30" s="128" t="s">
        <v>113</v>
      </c>
    </row>
    <row r="32" spans="1:21" x14ac:dyDescent="0.25">
      <c r="C32" t="s">
        <v>114</v>
      </c>
    </row>
  </sheetData>
  <phoneticPr fontId="10" type="noConversion"/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1EE5B-CB5A-4B06-84D5-D58022ABBD63}">
  <dimension ref="A1:Z29"/>
  <sheetViews>
    <sheetView workbookViewId="0">
      <selection activeCell="Y25" sqref="Y25"/>
    </sheetView>
  </sheetViews>
  <sheetFormatPr defaultRowHeight="15" x14ac:dyDescent="0.25"/>
  <cols>
    <col min="2" max="2" width="11.5703125" bestFit="1" customWidth="1"/>
    <col min="3" max="3" width="10" bestFit="1" customWidth="1"/>
    <col min="8" max="8" width="10.7109375" bestFit="1" customWidth="1"/>
    <col min="12" max="12" width="15.42578125" bestFit="1" customWidth="1"/>
    <col min="17" max="17" width="10.7109375" bestFit="1" customWidth="1"/>
    <col min="26" max="26" width="10.7109375" bestFit="1" customWidth="1"/>
  </cols>
  <sheetData>
    <row r="1" spans="1:26" ht="15.75" thickBot="1" x14ac:dyDescent="0.3">
      <c r="A1" t="s">
        <v>83</v>
      </c>
      <c r="J1" t="s">
        <v>63</v>
      </c>
      <c r="S1" t="s">
        <v>65</v>
      </c>
    </row>
    <row r="2" spans="1:26" ht="15.75" thickBot="1" x14ac:dyDescent="0.3">
      <c r="A2" s="33">
        <v>230425</v>
      </c>
      <c r="B2" s="109" t="s">
        <v>31</v>
      </c>
      <c r="C2" s="109"/>
      <c r="D2" s="109"/>
      <c r="E2" s="109"/>
      <c r="F2" s="109"/>
      <c r="G2" s="109"/>
      <c r="H2" s="110"/>
      <c r="J2" s="33">
        <v>230425</v>
      </c>
      <c r="K2" s="109" t="s">
        <v>48</v>
      </c>
      <c r="L2" s="109"/>
      <c r="M2" s="109"/>
      <c r="N2" s="109"/>
      <c r="O2" s="109"/>
      <c r="P2" s="109"/>
      <c r="Q2" s="110"/>
      <c r="S2" s="33">
        <v>230426</v>
      </c>
      <c r="T2" s="109" t="s">
        <v>49</v>
      </c>
      <c r="U2" s="109"/>
      <c r="V2" s="109"/>
      <c r="W2" s="109"/>
      <c r="X2" s="109"/>
      <c r="Y2" s="109"/>
      <c r="Z2" s="110"/>
    </row>
    <row r="3" spans="1:26" ht="15.75" thickBot="1" x14ac:dyDescent="0.3">
      <c r="A3" s="111" t="s">
        <v>32</v>
      </c>
      <c r="B3" s="112"/>
      <c r="C3" s="111" t="s">
        <v>33</v>
      </c>
      <c r="D3" s="113"/>
      <c r="E3" s="112"/>
      <c r="F3" s="111" t="s">
        <v>34</v>
      </c>
      <c r="G3" s="113"/>
      <c r="H3" s="112"/>
      <c r="J3" s="111" t="s">
        <v>32</v>
      </c>
      <c r="K3" s="112"/>
      <c r="L3" s="111" t="s">
        <v>33</v>
      </c>
      <c r="M3" s="113"/>
      <c r="N3" s="112"/>
      <c r="O3" s="111" t="s">
        <v>34</v>
      </c>
      <c r="P3" s="113"/>
      <c r="Q3" s="112"/>
      <c r="S3" s="111" t="s">
        <v>32</v>
      </c>
      <c r="T3" s="112"/>
      <c r="U3" s="111" t="s">
        <v>33</v>
      </c>
      <c r="V3" s="113"/>
      <c r="W3" s="112"/>
      <c r="X3" s="114" t="s">
        <v>34</v>
      </c>
      <c r="Y3" s="115"/>
      <c r="Z3" s="116"/>
    </row>
    <row r="4" spans="1:26" ht="39" thickBot="1" x14ac:dyDescent="0.3">
      <c r="A4" s="34" t="s">
        <v>35</v>
      </c>
      <c r="B4" s="35" t="s">
        <v>36</v>
      </c>
      <c r="C4" s="36" t="s">
        <v>35</v>
      </c>
      <c r="D4" s="35" t="s">
        <v>37</v>
      </c>
      <c r="E4" s="37" t="s">
        <v>38</v>
      </c>
      <c r="F4" s="38" t="s">
        <v>35</v>
      </c>
      <c r="G4" s="39" t="s">
        <v>39</v>
      </c>
      <c r="H4" s="37" t="s">
        <v>40</v>
      </c>
      <c r="J4" s="34" t="s">
        <v>35</v>
      </c>
      <c r="K4" s="35" t="s">
        <v>36</v>
      </c>
      <c r="L4" s="36" t="s">
        <v>35</v>
      </c>
      <c r="M4" s="35" t="s">
        <v>37</v>
      </c>
      <c r="N4" s="37" t="s">
        <v>38</v>
      </c>
      <c r="O4" s="38" t="s">
        <v>35</v>
      </c>
      <c r="P4" s="39" t="s">
        <v>37</v>
      </c>
      <c r="Q4" s="37" t="s">
        <v>40</v>
      </c>
      <c r="S4" s="40" t="s">
        <v>35</v>
      </c>
      <c r="T4" s="64" t="s">
        <v>36</v>
      </c>
      <c r="U4" s="65" t="s">
        <v>35</v>
      </c>
      <c r="V4" s="66" t="s">
        <v>37</v>
      </c>
      <c r="W4" s="64" t="s">
        <v>38</v>
      </c>
      <c r="X4" s="38" t="s">
        <v>35</v>
      </c>
      <c r="Y4" s="39" t="s">
        <v>50</v>
      </c>
      <c r="Z4" s="37" t="s">
        <v>40</v>
      </c>
    </row>
    <row r="5" spans="1:26" x14ac:dyDescent="0.25">
      <c r="A5" s="40" t="s">
        <v>41</v>
      </c>
      <c r="B5" s="41">
        <v>4.1000000000000003E-3</v>
      </c>
      <c r="C5" s="42" t="s">
        <v>42</v>
      </c>
      <c r="D5" s="9">
        <v>0.46750000000000003</v>
      </c>
      <c r="E5" s="43"/>
      <c r="F5" s="44" t="s">
        <v>42</v>
      </c>
      <c r="G5" s="9">
        <v>0.46750000000000003</v>
      </c>
      <c r="H5" s="45">
        <f>G5/0.500509</f>
        <v>0.93404913797753897</v>
      </c>
      <c r="J5" s="40" t="s">
        <v>41</v>
      </c>
      <c r="K5" s="41">
        <v>2.35E-2</v>
      </c>
      <c r="L5" s="40" t="s">
        <v>42</v>
      </c>
      <c r="M5" s="9">
        <v>7.8299999999999995E-2</v>
      </c>
      <c r="N5" s="60"/>
      <c r="O5" s="44" t="s">
        <v>42</v>
      </c>
      <c r="P5" s="9">
        <v>7.8299999999999995E-2</v>
      </c>
      <c r="Q5" s="61">
        <f>P5/0.176289</f>
        <v>0.44415703759168179</v>
      </c>
      <c r="S5" s="46" t="s">
        <v>41</v>
      </c>
      <c r="T5" s="13">
        <v>7.9000000000000008E-3</v>
      </c>
      <c r="U5" s="48" t="s">
        <v>42</v>
      </c>
      <c r="V5" s="11">
        <v>0.30420000000000003</v>
      </c>
      <c r="W5" s="50"/>
      <c r="X5" s="44" t="s">
        <v>42</v>
      </c>
      <c r="Y5" s="9">
        <v>0.30420000000000003</v>
      </c>
      <c r="Z5" s="45">
        <f>Y5/0.337726</f>
        <v>0.90073017771803177</v>
      </c>
    </row>
    <row r="6" spans="1:26" x14ac:dyDescent="0.25">
      <c r="A6" s="46" t="s">
        <v>43</v>
      </c>
      <c r="B6" s="13">
        <v>2E-3</v>
      </c>
      <c r="C6" s="19" t="s">
        <v>44</v>
      </c>
      <c r="D6" s="11">
        <v>0.46060000000000001</v>
      </c>
      <c r="E6" s="47">
        <f>ABS(D6-D5)/AVERAGE(D5:D6)</f>
        <v>1.4869087382825164E-2</v>
      </c>
      <c r="F6" s="48" t="s">
        <v>44</v>
      </c>
      <c r="G6" s="11">
        <v>0.46060000000000001</v>
      </c>
      <c r="H6" s="49">
        <f>G6/0.496478</f>
        <v>0.92773496509412312</v>
      </c>
      <c r="J6" s="46" t="s">
        <v>43</v>
      </c>
      <c r="K6" s="13">
        <v>0.02</v>
      </c>
      <c r="L6" s="46" t="s">
        <v>44</v>
      </c>
      <c r="M6" s="11">
        <v>8.0199999999999994E-2</v>
      </c>
      <c r="N6" s="62">
        <f>ABS(M6-M5)/AVERAGE(M5:M6)</f>
        <v>2.3974763406940054E-2</v>
      </c>
      <c r="O6" s="48" t="s">
        <v>44</v>
      </c>
      <c r="P6" s="11">
        <v>8.0199999999999994E-2</v>
      </c>
      <c r="Q6" s="49">
        <f>P6/0.178619</f>
        <v>0.44900038629709044</v>
      </c>
      <c r="S6" s="46" t="s">
        <v>43</v>
      </c>
      <c r="T6" s="13">
        <v>8.6E-3</v>
      </c>
      <c r="U6" s="48" t="s">
        <v>44</v>
      </c>
      <c r="V6" s="11">
        <v>0.31469999999999998</v>
      </c>
      <c r="W6" s="47">
        <f>ABS(V6-V5)/AVERAGE(V5:V6)</f>
        <v>3.3931168201647939E-2</v>
      </c>
      <c r="X6" s="48" t="s">
        <v>44</v>
      </c>
      <c r="Y6" s="11">
        <v>0.31469999999999998</v>
      </c>
      <c r="Z6" s="49">
        <f>Y6/0.34049</f>
        <v>0.92425621897853083</v>
      </c>
    </row>
    <row r="7" spans="1:26" x14ac:dyDescent="0.25">
      <c r="A7" s="46" t="s">
        <v>45</v>
      </c>
      <c r="B7" s="13">
        <v>4.0000000000000001E-3</v>
      </c>
      <c r="C7" s="19" t="s">
        <v>13</v>
      </c>
      <c r="D7" s="90">
        <v>6.854847044621166E-3</v>
      </c>
      <c r="E7" s="50"/>
      <c r="F7" s="51"/>
      <c r="G7" s="52"/>
      <c r="H7" s="53"/>
      <c r="J7" s="46" t="s">
        <v>45</v>
      </c>
      <c r="K7" s="13">
        <v>2.18E-2</v>
      </c>
      <c r="L7" s="46" t="s">
        <v>13</v>
      </c>
      <c r="M7" s="11">
        <v>0.18741217561389287</v>
      </c>
      <c r="N7" s="63"/>
      <c r="O7" s="51"/>
      <c r="P7" s="52"/>
      <c r="Q7" s="53"/>
      <c r="S7" s="46" t="s">
        <v>45</v>
      </c>
      <c r="T7" s="13">
        <v>6.8999999999999999E-3</v>
      </c>
      <c r="U7" s="48" t="s">
        <v>13</v>
      </c>
      <c r="V7" s="11">
        <v>0.11275905489296888</v>
      </c>
      <c r="W7" s="50"/>
      <c r="X7" s="51"/>
      <c r="Y7" s="52"/>
      <c r="Z7" s="53"/>
    </row>
    <row r="8" spans="1:26" x14ac:dyDescent="0.25">
      <c r="A8" s="54"/>
      <c r="B8" s="55"/>
      <c r="C8" s="19" t="s">
        <v>46</v>
      </c>
      <c r="D8" s="90">
        <v>6.4262228210272476E-3</v>
      </c>
      <c r="E8" s="47">
        <f>ABS(D8-D7)/AVERAGE(D7:D8)</f>
        <v>6.4546640885092876E-2</v>
      </c>
      <c r="F8" s="51"/>
      <c r="G8" s="52"/>
      <c r="H8" s="53"/>
      <c r="J8" s="54"/>
      <c r="K8" s="55"/>
      <c r="L8" s="48" t="s">
        <v>46</v>
      </c>
      <c r="M8" s="11">
        <v>0.1933717682594433</v>
      </c>
      <c r="N8" s="62">
        <f>ABS(M8-M7)/AVERAGE(M7:M8)</f>
        <v>3.1301701352895436E-2</v>
      </c>
      <c r="O8" s="51"/>
      <c r="P8" s="52"/>
      <c r="Q8" s="53"/>
      <c r="S8" s="54"/>
      <c r="T8" s="55"/>
      <c r="U8" s="48" t="s">
        <v>46</v>
      </c>
      <c r="V8" s="11">
        <v>0.11606302064469398</v>
      </c>
      <c r="W8" s="47">
        <f>ABS(V8-V7)/AVERAGE(V7:V8)</f>
        <v>2.8878033240121448E-2</v>
      </c>
      <c r="X8" s="51"/>
      <c r="Y8" s="52"/>
      <c r="Z8" s="53"/>
    </row>
    <row r="9" spans="1:26" x14ac:dyDescent="0.25">
      <c r="A9" s="54"/>
      <c r="B9" s="55"/>
      <c r="C9" s="84" t="s">
        <v>14</v>
      </c>
      <c r="D9" s="90">
        <v>1.7139956473834587E-2</v>
      </c>
      <c r="E9" s="50"/>
      <c r="F9" s="51"/>
      <c r="G9" s="52"/>
      <c r="H9" s="53"/>
      <c r="J9" s="54"/>
      <c r="K9" s="55"/>
      <c r="L9" s="48" t="s">
        <v>14</v>
      </c>
      <c r="M9" s="11">
        <v>0.87497076329173251</v>
      </c>
      <c r="N9" s="63"/>
      <c r="O9" s="51"/>
      <c r="P9" s="52"/>
      <c r="Q9" s="92"/>
      <c r="S9" s="54"/>
      <c r="T9" s="55"/>
      <c r="U9" s="48" t="s">
        <v>14</v>
      </c>
      <c r="V9" s="11">
        <v>0.84330915617623925</v>
      </c>
      <c r="W9" s="50"/>
      <c r="X9" s="51"/>
      <c r="Y9" s="52"/>
      <c r="Z9" s="53"/>
    </row>
    <row r="10" spans="1:26" x14ac:dyDescent="0.25">
      <c r="A10" s="85"/>
      <c r="B10" s="86"/>
      <c r="C10" s="84" t="s">
        <v>78</v>
      </c>
      <c r="D10" s="90">
        <v>1.7980909925413929E-2</v>
      </c>
      <c r="E10" s="47">
        <f t="shared" ref="E10" si="0">ABS(D10-D9)/AVERAGE(D9:D10)</f>
        <v>4.7889106266315554E-2</v>
      </c>
      <c r="F10" s="51"/>
      <c r="G10" s="52"/>
      <c r="H10" s="53"/>
      <c r="J10" s="85"/>
      <c r="K10" s="86"/>
      <c r="L10" s="48" t="s">
        <v>78</v>
      </c>
      <c r="M10" s="11">
        <v>0.59198546861577095</v>
      </c>
      <c r="N10" s="104">
        <f>ABS(M10-M9)/AVERAGE(M9:M10)</f>
        <v>0.38581286683378663</v>
      </c>
      <c r="O10" s="51"/>
      <c r="P10" s="52"/>
      <c r="Q10" s="92"/>
      <c r="S10" s="85"/>
      <c r="T10" s="86"/>
      <c r="U10" s="48" t="s">
        <v>78</v>
      </c>
      <c r="V10" s="11">
        <v>1.0784130761523045</v>
      </c>
      <c r="W10" s="106">
        <f t="shared" ref="W10" si="1">ABS(V10-V9)/AVERAGE(V9:V10)</f>
        <v>0.24468043926534661</v>
      </c>
      <c r="X10" s="51"/>
      <c r="Y10" s="52"/>
      <c r="Z10" s="53"/>
    </row>
    <row r="11" spans="1:26" x14ac:dyDescent="0.25">
      <c r="A11" s="85"/>
      <c r="B11" s="86"/>
      <c r="C11" s="84" t="s">
        <v>22</v>
      </c>
      <c r="D11" s="90">
        <v>7.4254859001803434E-3</v>
      </c>
      <c r="E11" s="50"/>
      <c r="F11" s="51"/>
      <c r="G11" s="52"/>
      <c r="H11" s="53"/>
      <c r="J11" s="85"/>
      <c r="K11" s="86"/>
      <c r="L11" s="48" t="s">
        <v>22</v>
      </c>
      <c r="M11" s="11">
        <v>0.38388492875857755</v>
      </c>
      <c r="N11" s="63"/>
      <c r="O11" s="51"/>
      <c r="P11" s="52"/>
      <c r="Q11" s="92"/>
      <c r="S11" s="85"/>
      <c r="T11" s="86"/>
      <c r="U11" s="48" t="s">
        <v>22</v>
      </c>
      <c r="V11" s="11">
        <v>4.0079575945704216E-2</v>
      </c>
      <c r="W11" s="50"/>
      <c r="X11" s="51"/>
      <c r="Y11" s="52"/>
      <c r="Z11" s="53"/>
    </row>
    <row r="12" spans="1:26" ht="15.75" thickBot="1" x14ac:dyDescent="0.3">
      <c r="A12" s="87"/>
      <c r="B12" s="88"/>
      <c r="C12" s="89" t="s">
        <v>47</v>
      </c>
      <c r="D12" s="91">
        <v>7.1725872032374306E-3</v>
      </c>
      <c r="E12" s="56">
        <f t="shared" ref="E12" si="2">ABS(D12-D11)/AVERAGE(D11:D12)</f>
        <v>3.4648229961761576E-2</v>
      </c>
      <c r="F12" s="57"/>
      <c r="G12" s="58"/>
      <c r="H12" s="59"/>
      <c r="J12" s="87"/>
      <c r="K12" s="88"/>
      <c r="L12" s="67" t="s">
        <v>47</v>
      </c>
      <c r="M12" s="22">
        <v>0.20251981232823005</v>
      </c>
      <c r="N12" s="105">
        <f t="shared" ref="N12" si="3">ABS(M12-M11)/AVERAGE(M11:M12)</f>
        <v>0.61856633728511878</v>
      </c>
      <c r="O12" s="57"/>
      <c r="P12" s="58"/>
      <c r="Q12" s="93"/>
      <c r="S12" s="87"/>
      <c r="T12" s="88"/>
      <c r="U12" s="67" t="s">
        <v>47</v>
      </c>
      <c r="V12" s="22">
        <v>2.0766660046113591E-2</v>
      </c>
      <c r="W12" s="107">
        <f t="shared" ref="W12" si="4">ABS(V12-V11)/AVERAGE(V11:V12)</f>
        <v>0.63481053790041164</v>
      </c>
      <c r="X12" s="57"/>
      <c r="Y12" s="58"/>
      <c r="Z12" s="59"/>
    </row>
    <row r="14" spans="1:26" ht="15.75" thickBot="1" x14ac:dyDescent="0.3">
      <c r="A14" t="s">
        <v>67</v>
      </c>
      <c r="J14" t="s">
        <v>69</v>
      </c>
    </row>
    <row r="15" spans="1:26" ht="15.75" thickBot="1" x14ac:dyDescent="0.3">
      <c r="A15" s="33">
        <v>230426</v>
      </c>
      <c r="B15" s="109" t="s">
        <v>51</v>
      </c>
      <c r="C15" s="109"/>
      <c r="D15" s="109"/>
      <c r="E15" s="109"/>
      <c r="F15" s="109"/>
      <c r="G15" s="109"/>
      <c r="H15" s="110"/>
      <c r="J15" s="33">
        <v>230427</v>
      </c>
      <c r="K15" s="117" t="s">
        <v>55</v>
      </c>
      <c r="L15" s="118"/>
      <c r="M15" s="118"/>
      <c r="N15" s="118"/>
      <c r="O15" s="118"/>
      <c r="P15" s="118"/>
      <c r="Q15" s="119"/>
    </row>
    <row r="16" spans="1:26" ht="15.75" thickBot="1" x14ac:dyDescent="0.3">
      <c r="A16" s="111" t="s">
        <v>32</v>
      </c>
      <c r="B16" s="112"/>
      <c r="C16" s="111" t="s">
        <v>33</v>
      </c>
      <c r="D16" s="113"/>
      <c r="E16" s="112"/>
      <c r="F16" s="111" t="s">
        <v>34</v>
      </c>
      <c r="G16" s="113"/>
      <c r="H16" s="112"/>
      <c r="J16" s="120" t="s">
        <v>32</v>
      </c>
      <c r="K16" s="121"/>
      <c r="L16" s="121" t="s">
        <v>33</v>
      </c>
      <c r="M16" s="121"/>
      <c r="N16" s="121"/>
      <c r="O16" s="121" t="s">
        <v>34</v>
      </c>
      <c r="P16" s="121"/>
      <c r="Q16" s="122"/>
    </row>
    <row r="17" spans="1:17" ht="39" thickBot="1" x14ac:dyDescent="0.3">
      <c r="A17" s="34" t="s">
        <v>35</v>
      </c>
      <c r="B17" s="35" t="s">
        <v>36</v>
      </c>
      <c r="C17" s="36" t="s">
        <v>35</v>
      </c>
      <c r="D17" s="35" t="s">
        <v>37</v>
      </c>
      <c r="E17" s="37" t="s">
        <v>38</v>
      </c>
      <c r="F17" s="38" t="s">
        <v>35</v>
      </c>
      <c r="G17" s="39" t="s">
        <v>52</v>
      </c>
      <c r="H17" s="37" t="s">
        <v>40</v>
      </c>
      <c r="J17" s="46" t="s">
        <v>35</v>
      </c>
      <c r="K17" s="69" t="s">
        <v>36</v>
      </c>
      <c r="L17" s="69" t="s">
        <v>35</v>
      </c>
      <c r="M17" s="69" t="s">
        <v>37</v>
      </c>
      <c r="N17" s="69" t="s">
        <v>38</v>
      </c>
      <c r="O17" s="69" t="s">
        <v>35</v>
      </c>
      <c r="P17" s="98" t="s">
        <v>52</v>
      </c>
      <c r="Q17" s="99" t="s">
        <v>40</v>
      </c>
    </row>
    <row r="18" spans="1:17" x14ac:dyDescent="0.25">
      <c r="A18" s="40" t="s">
        <v>41</v>
      </c>
      <c r="B18" s="41">
        <v>5.4000000000000003E-3</v>
      </c>
      <c r="C18" s="48" t="s">
        <v>13</v>
      </c>
      <c r="D18" s="11">
        <v>0.31290404619540513</v>
      </c>
      <c r="E18" s="63"/>
      <c r="F18" s="44" t="s">
        <v>42</v>
      </c>
      <c r="G18" s="9">
        <v>0.15229999999999999</v>
      </c>
      <c r="H18" s="45">
        <f>G18/0.1564</f>
        <v>0.97378516624040912</v>
      </c>
      <c r="J18" s="46" t="s">
        <v>41</v>
      </c>
      <c r="K18" s="11">
        <v>3.3999999999999998E-3</v>
      </c>
      <c r="L18" s="100" t="s">
        <v>42</v>
      </c>
      <c r="M18" s="11">
        <v>0.23530000000000001</v>
      </c>
      <c r="N18" s="100"/>
      <c r="O18" s="101" t="s">
        <v>42</v>
      </c>
      <c r="P18" s="11">
        <v>0.23530000000000001</v>
      </c>
      <c r="Q18" s="49">
        <f>P18/0.25</f>
        <v>0.94120000000000004</v>
      </c>
    </row>
    <row r="19" spans="1:17" x14ac:dyDescent="0.25">
      <c r="A19" s="46" t="s">
        <v>43</v>
      </c>
      <c r="B19" s="13">
        <v>5.7999999999999996E-3</v>
      </c>
      <c r="C19" s="48" t="s">
        <v>46</v>
      </c>
      <c r="D19" s="11">
        <v>0.32334902016</v>
      </c>
      <c r="E19" s="62">
        <f t="shared" ref="E19:E29" si="5">ABS(D19-D18)/AVERAGE(D18:D19)</f>
        <v>3.28327658188775E-2</v>
      </c>
      <c r="F19" s="48" t="s">
        <v>13</v>
      </c>
      <c r="G19" s="11">
        <v>7.5800000000000006E-2</v>
      </c>
      <c r="H19" s="49"/>
      <c r="J19" s="46" t="s">
        <v>43</v>
      </c>
      <c r="K19" s="11">
        <v>3.2000000000000002E-3</v>
      </c>
      <c r="L19" s="100" t="s">
        <v>44</v>
      </c>
      <c r="M19" s="11">
        <v>0.23419999999999999</v>
      </c>
      <c r="N19" s="102">
        <f>ABS(M19-M18)/AVERAGE(M18:M19)</f>
        <v>4.685835995740224E-3</v>
      </c>
      <c r="O19" s="101" t="s">
        <v>44</v>
      </c>
      <c r="P19" s="11">
        <v>0.23419999999999999</v>
      </c>
      <c r="Q19" s="49">
        <f>P19/0.25</f>
        <v>0.93679999999999997</v>
      </c>
    </row>
    <row r="20" spans="1:17" x14ac:dyDescent="0.25">
      <c r="A20" s="46" t="s">
        <v>45</v>
      </c>
      <c r="B20" s="13">
        <v>5.1999999999999998E-3</v>
      </c>
      <c r="C20" s="68" t="s">
        <v>53</v>
      </c>
      <c r="D20" s="11">
        <v>1.4890853902865016</v>
      </c>
      <c r="E20" s="63"/>
      <c r="F20" s="48" t="s">
        <v>53</v>
      </c>
      <c r="G20" s="11">
        <v>0.34770000000000001</v>
      </c>
      <c r="H20" s="49">
        <f>(G20-G19)/0.271</f>
        <v>1.0033210332103322</v>
      </c>
      <c r="J20" s="46" t="s">
        <v>45</v>
      </c>
      <c r="K20" s="11">
        <v>3.5999999999999999E-3</v>
      </c>
      <c r="L20" s="101" t="s">
        <v>13</v>
      </c>
      <c r="M20" s="11">
        <v>0.18566738942830591</v>
      </c>
      <c r="N20" s="100"/>
      <c r="O20" s="51"/>
      <c r="P20" s="52"/>
      <c r="Q20" s="53"/>
    </row>
    <row r="21" spans="1:17" x14ac:dyDescent="0.25">
      <c r="A21" s="54"/>
      <c r="B21" s="55"/>
      <c r="C21" s="68" t="s">
        <v>54</v>
      </c>
      <c r="D21" s="11">
        <v>1.446566909736428</v>
      </c>
      <c r="E21" s="62">
        <f t="shared" si="5"/>
        <v>2.8966973064038594E-2</v>
      </c>
      <c r="F21" s="48" t="s">
        <v>54</v>
      </c>
      <c r="G21" s="69">
        <v>0.3473</v>
      </c>
      <c r="H21" s="49">
        <f>(G21-G19)/0.275</f>
        <v>0.98727272727272708</v>
      </c>
      <c r="J21" s="85"/>
      <c r="K21" s="86"/>
      <c r="L21" s="101" t="s">
        <v>46</v>
      </c>
      <c r="M21" s="11">
        <v>0.1925852019504464</v>
      </c>
      <c r="N21" s="102">
        <f>ABS(M21-M20)/AVERAGE(M20:M21)</f>
        <v>3.6577740270990186E-2</v>
      </c>
      <c r="O21" s="51"/>
      <c r="P21" s="52"/>
      <c r="Q21" s="53"/>
    </row>
    <row r="22" spans="1:17" x14ac:dyDescent="0.25">
      <c r="A22" s="85"/>
      <c r="B22" s="86"/>
      <c r="C22" s="68" t="s">
        <v>14</v>
      </c>
      <c r="D22" s="11">
        <v>1.0532500870243902</v>
      </c>
      <c r="E22" s="63"/>
      <c r="F22" s="48" t="s">
        <v>14</v>
      </c>
      <c r="G22" s="69">
        <v>0.23130000000000001</v>
      </c>
      <c r="H22" s="49"/>
      <c r="J22" s="85"/>
      <c r="K22" s="86"/>
      <c r="L22" s="101" t="s">
        <v>14</v>
      </c>
      <c r="M22" s="11">
        <v>0.49885505539261049</v>
      </c>
      <c r="N22" s="100"/>
      <c r="O22" s="51"/>
      <c r="P22" s="52"/>
      <c r="Q22" s="92"/>
    </row>
    <row r="23" spans="1:17" x14ac:dyDescent="0.25">
      <c r="A23" s="85"/>
      <c r="B23" s="86"/>
      <c r="C23" s="68" t="s">
        <v>78</v>
      </c>
      <c r="D23" s="11">
        <v>1.2303177689800469</v>
      </c>
      <c r="E23" s="104">
        <f t="shared" si="5"/>
        <v>0.15507985146145153</v>
      </c>
      <c r="F23" s="48" t="s">
        <v>79</v>
      </c>
      <c r="G23" s="69">
        <v>0.50629999999999997</v>
      </c>
      <c r="H23" s="49">
        <f>(G23-G22)/0.272</f>
        <v>1.0110294117647056</v>
      </c>
      <c r="J23" s="85"/>
      <c r="K23" s="86"/>
      <c r="L23" s="101" t="s">
        <v>78</v>
      </c>
      <c r="M23" s="11">
        <v>0.54633543217963776</v>
      </c>
      <c r="N23" s="102">
        <f t="shared" ref="N23" si="6">ABS(M23-M22)/AVERAGE(M22:M23)</f>
        <v>9.0854973043839937E-2</v>
      </c>
      <c r="O23" s="51"/>
      <c r="P23" s="52"/>
      <c r="Q23" s="92"/>
    </row>
    <row r="24" spans="1:17" x14ac:dyDescent="0.25">
      <c r="A24" s="85"/>
      <c r="B24" s="86"/>
      <c r="C24" s="68" t="s">
        <v>79</v>
      </c>
      <c r="D24" s="11">
        <v>2.2913488202926828</v>
      </c>
      <c r="E24" s="63"/>
      <c r="F24" s="48" t="s">
        <v>80</v>
      </c>
      <c r="G24" s="69">
        <v>0.50229999999999997</v>
      </c>
      <c r="H24" s="49">
        <f t="shared" ref="H24" si="7">(G24-G22)/0.271</f>
        <v>0.99999999999999978</v>
      </c>
      <c r="J24" s="85"/>
      <c r="K24" s="86"/>
      <c r="L24" s="101" t="s">
        <v>22</v>
      </c>
      <c r="M24" s="11">
        <v>8.8567653516036723E-2</v>
      </c>
      <c r="N24" s="100"/>
      <c r="O24" s="51"/>
      <c r="P24" s="52"/>
      <c r="Q24" s="92"/>
    </row>
    <row r="25" spans="1:17" ht="15.75" thickBot="1" x14ac:dyDescent="0.3">
      <c r="A25" s="85"/>
      <c r="B25" s="86"/>
      <c r="C25" s="68" t="s">
        <v>80</v>
      </c>
      <c r="D25" s="11">
        <v>2.2582411987983577</v>
      </c>
      <c r="E25" s="62">
        <f t="shared" si="5"/>
        <v>1.4554112065218424E-2</v>
      </c>
      <c r="F25" s="48" t="s">
        <v>22</v>
      </c>
      <c r="G25" s="69">
        <v>2.41E-2</v>
      </c>
      <c r="H25" s="49"/>
      <c r="J25" s="87"/>
      <c r="K25" s="88"/>
      <c r="L25" s="103" t="s">
        <v>47</v>
      </c>
      <c r="M25" s="22">
        <v>0.10655550224868525</v>
      </c>
      <c r="N25" s="108">
        <f t="shared" ref="N25" si="8">ABS(M25-M24)/AVERAGE(M24:M25)</f>
        <v>0.1843743113127807</v>
      </c>
      <c r="O25" s="57"/>
      <c r="P25" s="58"/>
      <c r="Q25" s="93"/>
    </row>
    <row r="26" spans="1:17" x14ac:dyDescent="0.25">
      <c r="A26" s="85"/>
      <c r="B26" s="86"/>
      <c r="C26" s="68" t="s">
        <v>22</v>
      </c>
      <c r="D26" s="11">
        <v>9.3330301965065504E-2</v>
      </c>
      <c r="E26" s="63"/>
      <c r="F26" s="48" t="s">
        <v>81</v>
      </c>
      <c r="G26" s="69">
        <v>0.29399999999999998</v>
      </c>
      <c r="H26" s="49">
        <f>(G26-G25)/0.274</f>
        <v>0.98503649635036483</v>
      </c>
    </row>
    <row r="27" spans="1:17" x14ac:dyDescent="0.25">
      <c r="A27" s="85"/>
      <c r="B27" s="86"/>
      <c r="C27" s="68" t="s">
        <v>47</v>
      </c>
      <c r="D27" s="11">
        <v>5.2970575107296136E-2</v>
      </c>
      <c r="E27" s="104">
        <f t="shared" si="5"/>
        <v>0.55173595217487459</v>
      </c>
      <c r="F27" s="48" t="s">
        <v>82</v>
      </c>
      <c r="G27" s="69">
        <v>0.30149999999999999</v>
      </c>
      <c r="H27" s="49">
        <f t="shared" ref="H27" si="9">(G27-G25)/0.271</f>
        <v>1.0236162361623615</v>
      </c>
    </row>
    <row r="28" spans="1:17" x14ac:dyDescent="0.25">
      <c r="A28" s="85"/>
      <c r="B28" s="86"/>
      <c r="C28" s="68" t="s">
        <v>81</v>
      </c>
      <c r="D28" s="11">
        <v>1.1770101508535133</v>
      </c>
      <c r="E28" s="63"/>
      <c r="F28" s="51"/>
      <c r="G28" s="94"/>
      <c r="H28" s="95"/>
    </row>
    <row r="29" spans="1:17" ht="15.75" thickBot="1" x14ac:dyDescent="0.3">
      <c r="A29" s="87"/>
      <c r="B29" s="88"/>
      <c r="C29" s="70" t="s">
        <v>82</v>
      </c>
      <c r="D29" s="22">
        <v>1.1790092884639845</v>
      </c>
      <c r="E29" s="71">
        <f t="shared" si="5"/>
        <v>1.6970467875682905E-3</v>
      </c>
      <c r="F29" s="87"/>
      <c r="G29" s="96"/>
      <c r="H29" s="97"/>
    </row>
  </sheetData>
  <mergeCells count="20">
    <mergeCell ref="B15:H15"/>
    <mergeCell ref="A16:B16"/>
    <mergeCell ref="C16:E16"/>
    <mergeCell ref="F16:H16"/>
    <mergeCell ref="K15:Q15"/>
    <mergeCell ref="J16:K16"/>
    <mergeCell ref="L16:N16"/>
    <mergeCell ref="O16:Q16"/>
    <mergeCell ref="T2:Z2"/>
    <mergeCell ref="S3:T3"/>
    <mergeCell ref="U3:W3"/>
    <mergeCell ref="X3:Z3"/>
    <mergeCell ref="B2:H2"/>
    <mergeCell ref="A3:B3"/>
    <mergeCell ref="C3:E3"/>
    <mergeCell ref="F3:H3"/>
    <mergeCell ref="K2:Q2"/>
    <mergeCell ref="J3:K3"/>
    <mergeCell ref="L3:N3"/>
    <mergeCell ref="O3:Q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2B99B-1B7F-47B3-AF52-390CB9E3B8E5}">
  <dimension ref="A1:C15"/>
  <sheetViews>
    <sheetView workbookViewId="0">
      <selection activeCell="C22" sqref="C22"/>
    </sheetView>
  </sheetViews>
  <sheetFormatPr defaultRowHeight="15" x14ac:dyDescent="0.25"/>
  <cols>
    <col min="1" max="1" width="13.7109375" bestFit="1" customWidth="1"/>
    <col min="2" max="2" width="13.7109375" customWidth="1"/>
    <col min="3" max="3" width="144.85546875" bestFit="1" customWidth="1"/>
  </cols>
  <sheetData>
    <row r="1" spans="1:3" ht="15.75" thickBot="1" x14ac:dyDescent="0.3"/>
    <row r="2" spans="1:3" s="77" customFormat="1" x14ac:dyDescent="0.25">
      <c r="A2" s="1" t="s">
        <v>58</v>
      </c>
      <c r="B2" s="76" t="s">
        <v>59</v>
      </c>
      <c r="C2" s="76" t="s">
        <v>60</v>
      </c>
    </row>
    <row r="3" spans="1:3" x14ac:dyDescent="0.25">
      <c r="A3" s="46" t="s">
        <v>61</v>
      </c>
      <c r="B3" s="78">
        <v>0.01</v>
      </c>
      <c r="C3" s="78" t="s">
        <v>62</v>
      </c>
    </row>
    <row r="4" spans="1:3" x14ac:dyDescent="0.25">
      <c r="A4" s="46" t="s">
        <v>63</v>
      </c>
      <c r="B4" s="78">
        <v>0.03</v>
      </c>
      <c r="C4" s="78" t="s">
        <v>64</v>
      </c>
    </row>
    <row r="5" spans="1:3" x14ac:dyDescent="0.25">
      <c r="A5" s="46" t="s">
        <v>65</v>
      </c>
      <c r="B5" s="78">
        <v>0.01</v>
      </c>
      <c r="C5" s="78" t="s">
        <v>66</v>
      </c>
    </row>
    <row r="6" spans="1:3" x14ac:dyDescent="0.25">
      <c r="A6" s="46" t="s">
        <v>67</v>
      </c>
      <c r="B6" s="78">
        <v>0.01</v>
      </c>
      <c r="C6" s="78" t="s">
        <v>68</v>
      </c>
    </row>
    <row r="7" spans="1:3" x14ac:dyDescent="0.25">
      <c r="A7" s="46" t="s">
        <v>69</v>
      </c>
      <c r="B7" s="78">
        <v>0.01</v>
      </c>
      <c r="C7" s="78" t="s">
        <v>70</v>
      </c>
    </row>
    <row r="8" spans="1:3" ht="15.75" thickBot="1" x14ac:dyDescent="0.3">
      <c r="A8" s="72" t="s">
        <v>71</v>
      </c>
      <c r="B8" s="79">
        <v>0.01</v>
      </c>
      <c r="C8" s="79" t="s">
        <v>72</v>
      </c>
    </row>
    <row r="10" spans="1:3" x14ac:dyDescent="0.25">
      <c r="A10" t="s">
        <v>73</v>
      </c>
    </row>
    <row r="12" spans="1:3" x14ac:dyDescent="0.25">
      <c r="A12" s="80" t="s">
        <v>74</v>
      </c>
      <c r="B12" s="80"/>
    </row>
    <row r="13" spans="1:3" x14ac:dyDescent="0.25">
      <c r="A13" s="81" t="s">
        <v>84</v>
      </c>
      <c r="B13" s="81"/>
    </row>
    <row r="14" spans="1:3" x14ac:dyDescent="0.25">
      <c r="A14" s="82" t="s">
        <v>75</v>
      </c>
      <c r="B14" s="82"/>
    </row>
    <row r="15" spans="1:3" x14ac:dyDescent="0.25">
      <c r="A15" s="83" t="s">
        <v>76</v>
      </c>
      <c r="B15" s="8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 Summary p-fractions</vt:lpstr>
      <vt:lpstr>QC</vt:lpstr>
      <vt:lpstr>Method 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Rankin</dc:creator>
  <cp:lastModifiedBy>Steve Henry</cp:lastModifiedBy>
  <cp:lastPrinted>2023-07-11T13:44:32Z</cp:lastPrinted>
  <dcterms:created xsi:type="dcterms:W3CDTF">2023-05-11T19:09:17Z</dcterms:created>
  <dcterms:modified xsi:type="dcterms:W3CDTF">2023-07-18T14:51:12Z</dcterms:modified>
</cp:coreProperties>
</file>